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-2" sheetId="2" r:id="rId2"/>
    <sheet name="січень" sheetId="3" r:id="rId3"/>
  </sheets>
  <definedNames>
    <definedName name="_xlnm.Print_Area" localSheetId="2">'січень'!$A$1:$R$87</definedName>
  </definedNames>
  <calcPr fullCalcOnLoad="1"/>
</workbook>
</file>

<file path=xl/sharedStrings.xml><?xml version="1.0" encoding="utf-8"?>
<sst xmlns="http://schemas.openxmlformats.org/spreadsheetml/2006/main" count="376" uniqueCount="140">
  <si>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</si>
  <si>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</si>
  <si>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</si>
  <si>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</si>
  <si>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</si>
  <si>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</si>
  <si>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</si>
  <si>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</si>
  <si>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</si>
  <si>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</si>
  <si>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</si>
  <si>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</si>
  <si>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</si>
  <si>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</si>
  <si>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</si>
  <si>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</si>
  <si>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</si>
  <si>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</si>
  <si>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</si>
  <si>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</si>
  <si>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</si>
  <si>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</si>
  <si>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</si>
  <si>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</si>
  <si>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</si>
  <si>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</si>
  <si>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</si>
  <si>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</si>
  <si>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</si>
  <si>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</si>
  <si>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</si>
  <si>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</si>
  <si>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</si>
  <si>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</si>
  <si>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</si>
  <si>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</si>
  <si>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</si>
  <si>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</si>
  <si>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</si>
  <si>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</si>
  <si>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</si>
  <si>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</si>
  <si>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</si>
  <si>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</si>
  <si>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</si>
  <si>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</si>
  <si>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</si>
  <si>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</si>
  <si>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</si>
  <si>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</si>
  <si>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</si>
  <si>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</si>
  <si>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</si>
  <si>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</si>
  <si>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</si>
  <si>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</si>
  <si>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</si>
  <si>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</si>
  <si>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</si>
  <si>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</si>
  <si>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</si>
  <si>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</si>
  <si>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</si>
  <si>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</si>
  <si>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</si>
  <si>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</si>
  <si>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</si>
  <si>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</si>
  <si>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</si>
  <si>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</si>
  <si>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</si>
  <si>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</si>
  <si>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</si>
  <si>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</si>
  <si>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</si>
  <si>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</si>
  <si>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</si>
  <si>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</si>
  <si>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</si>
  <si>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</si>
  <si>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</si>
  <si>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</si>
  <si>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</si>
  <si>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</si>
  <si>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</si>
  <si>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</si>
  <si>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</si>
  <si>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</si>
  <si>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</si>
  <si>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</si>
  <si>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</si>
  <si>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</si>
  <si>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</si>
  <si>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</si>
  <si>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</si>
  <si>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</si>
  <si>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</si>
  <si>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</si>
  <si>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</si>
  <si>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</si>
  <si>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</si>
  <si>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</si>
  <si>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</si>
  <si>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</si>
  <si>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</si>
  <si>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</si>
  <si>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</si>
  <si>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</si>
  <si>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</si>
  <si>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</si>
  <si>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</si>
  <si>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</si>
  <si>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</si>
  <si>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</si>
  <si>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</si>
  <si>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</si>
  <si>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</si>
  <si>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</si>
  <si>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</si>
  <si>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</si>
  <si>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</si>
  <si>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</si>
  <si>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</si>
  <si>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</si>
  <si>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</si>
  <si>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</si>
  <si>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</si>
  <si>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</si>
  <si>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</si>
  <si>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</si>
  <si>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</si>
  <si>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</si>
  <si>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</si>
  <si>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</si>
  <si>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</si>
  <si>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</si>
  <si>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</si>
  <si>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15.02.2016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</si>
  <si>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12.02.16 </t>
    </r>
    <r>
      <rPr>
        <b/>
        <sz val="10"/>
        <rFont val="Times New Roman"/>
        <family val="1"/>
      </rPr>
      <t>включно</t>
    </r>
  </si>
  <si>
    <t xml:space="preserve">            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</si>
</sst>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27" fillId="0" borderId="0">
      <alignment/>
      <protection/>
    </xf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26" fillId="0" borderId="0">
      <alignment/>
      <protection/>
    </xf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2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0" fontId="12" fillId="0" borderId="0" xfId="54" applyFont="1" applyAlignment="1" applyProtection="1">
      <alignment horizontal="center"/>
      <protection/>
    </xf>
    <xf numFmtId="0" fontId="3" fillId="0" borderId="0" xfId="54" applyFont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5" fillId="13" borderId="18" xfId="54" applyFont="1" applyFill="1" applyBorder="1" applyAlignment="1" applyProtection="1">
      <alignment horizontal="center" vertical="center" wrapText="1"/>
      <protection/>
    </xf>
    <xf numFmtId="0" fontId="25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182" fontId="25" fillId="35" borderId="13" xfId="0" applyNumberFormat="1" applyFont="1" applyFill="1" applyBorder="1" applyAlignment="1" applyProtection="1">
      <alignment horizontal="center" vertical="center" wrapText="1"/>
      <protection/>
    </xf>
    <xf numFmtId="182" fontId="25" fillId="35" borderId="16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tabSelected="1" zoomScale="81" zoomScaleNormal="81" zoomScalePageLayoutView="0" workbookViewId="0" topLeftCell="B1">
      <pane xSplit="2" ySplit="8" topLeftCell="D8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88" sqref="D8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hidden="1" customWidth="1"/>
    <col min="12" max="12" width="10.00390625" style="4" hidden="1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4" t="s">
        <v>137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92"/>
      <c r="R1" s="93"/>
    </row>
    <row r="2" spans="2:18" s="1" customFormat="1" ht="15.75" customHeight="1">
      <c r="B2" s="185"/>
      <c r="C2" s="185"/>
      <c r="D2" s="18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6"/>
      <c r="B3" s="188"/>
      <c r="C3" s="189" t="s">
        <v>0</v>
      </c>
      <c r="D3" s="190" t="s">
        <v>121</v>
      </c>
      <c r="E3" s="34"/>
      <c r="F3" s="191" t="s">
        <v>26</v>
      </c>
      <c r="G3" s="192"/>
      <c r="H3" s="192"/>
      <c r="I3" s="192"/>
      <c r="J3" s="193"/>
      <c r="K3" s="89"/>
      <c r="L3" s="89"/>
      <c r="M3" s="194" t="s">
        <v>128</v>
      </c>
      <c r="N3" s="197" t="s">
        <v>119</v>
      </c>
      <c r="O3" s="197"/>
      <c r="P3" s="197"/>
      <c r="Q3" s="197"/>
      <c r="R3" s="197"/>
    </row>
    <row r="4" spans="1:18" ht="22.5" customHeight="1">
      <c r="A4" s="186"/>
      <c r="B4" s="188"/>
      <c r="C4" s="189"/>
      <c r="D4" s="190"/>
      <c r="E4" s="198" t="s">
        <v>127</v>
      </c>
      <c r="F4" s="200" t="s">
        <v>34</v>
      </c>
      <c r="G4" s="202" t="s">
        <v>116</v>
      </c>
      <c r="H4" s="195" t="s">
        <v>117</v>
      </c>
      <c r="I4" s="202" t="s">
        <v>122</v>
      </c>
      <c r="J4" s="195" t="s">
        <v>123</v>
      </c>
      <c r="K4" s="91" t="s">
        <v>65</v>
      </c>
      <c r="L4" s="96" t="s">
        <v>64</v>
      </c>
      <c r="M4" s="195"/>
      <c r="N4" s="204" t="s">
        <v>138</v>
      </c>
      <c r="O4" s="202" t="s">
        <v>50</v>
      </c>
      <c r="P4" s="206" t="s">
        <v>49</v>
      </c>
      <c r="Q4" s="97" t="s">
        <v>65</v>
      </c>
      <c r="R4" s="98" t="s">
        <v>64</v>
      </c>
    </row>
    <row r="5" spans="1:18" ht="92.25" customHeight="1">
      <c r="A5" s="187"/>
      <c r="B5" s="188"/>
      <c r="C5" s="189"/>
      <c r="D5" s="190"/>
      <c r="E5" s="199"/>
      <c r="F5" s="201"/>
      <c r="G5" s="203"/>
      <c r="H5" s="196"/>
      <c r="I5" s="203"/>
      <c r="J5" s="196"/>
      <c r="K5" s="207" t="s">
        <v>118</v>
      </c>
      <c r="L5" s="208"/>
      <c r="M5" s="196"/>
      <c r="N5" s="205"/>
      <c r="O5" s="203"/>
      <c r="P5" s="206"/>
      <c r="Q5" s="207" t="s">
        <v>120</v>
      </c>
      <c r="R5" s="20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</f>
        <v>87868.61</v>
      </c>
      <c r="G8" s="15">
        <f aca="true" t="shared" si="0" ref="G8:G21">F8-E8</f>
        <v>-34844.15999999999</v>
      </c>
      <c r="H8" s="38">
        <f>F8/E8*100</f>
        <v>71.60510678717465</v>
      </c>
      <c r="I8" s="28">
        <f>F8-D8</f>
        <v>-753181.39</v>
      </c>
      <c r="J8" s="28">
        <f>F8/D8*100</f>
        <v>10.447489447714167</v>
      </c>
      <c r="K8" s="15">
        <f>K9+K15+K18+K19+K20+K32</f>
        <v>-3485.7999999999984</v>
      </c>
      <c r="L8" s="15">
        <f>F8/91354.4*100</f>
        <v>96.18432171849413</v>
      </c>
      <c r="M8" s="15">
        <f>M9+M15+M18+M19+M20+M32+M17</f>
        <v>62152</v>
      </c>
      <c r="N8" s="15">
        <f>N9+N15+N18+N19+N20+N32+N17</f>
        <v>27287.98</v>
      </c>
      <c r="O8" s="15">
        <f>N8-M8</f>
        <v>-34864.020000000004</v>
      </c>
      <c r="P8" s="15">
        <f>N8/M8*100</f>
        <v>43.90523233363367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45217.18</v>
      </c>
      <c r="G9" s="36">
        <f t="shared" si="0"/>
        <v>-15373.085</v>
      </c>
      <c r="H9" s="32">
        <f>F9/E9*100</f>
        <v>74.62779705617726</v>
      </c>
      <c r="I9" s="42">
        <f>F9-D9</f>
        <v>-414482.82</v>
      </c>
      <c r="J9" s="42">
        <f>F9/D9*100</f>
        <v>9.836236676093105</v>
      </c>
      <c r="K9" s="106">
        <f>F9-49687.49</f>
        <v>-4470.309999999998</v>
      </c>
      <c r="L9" s="106">
        <f>F9/49687.49*100</f>
        <v>91.00314787484737</v>
      </c>
      <c r="M9" s="32">
        <v>30377</v>
      </c>
      <c r="N9" s="178">
        <f>F9-січень!F9</f>
        <v>15003.91</v>
      </c>
      <c r="O9" s="40">
        <f>N9-M9</f>
        <v>-15373.09</v>
      </c>
      <c r="P9" s="42">
        <f>N9/M9*100</f>
        <v>49.39233630707443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40752.51</v>
      </c>
      <c r="G10" s="109">
        <f t="shared" si="0"/>
        <v>-13621.329999999994</v>
      </c>
      <c r="H10" s="32">
        <f aca="true" t="shared" si="1" ref="H10:H18">F10/E10*100</f>
        <v>74.9487437341192</v>
      </c>
      <c r="I10" s="110">
        <f aca="true" t="shared" si="2" ref="I10:I32">F10-D10</f>
        <v>-370687.49</v>
      </c>
      <c r="J10" s="110">
        <f aca="true" t="shared" si="3" ref="J10:J31">F10/D10*100</f>
        <v>9.904848823643789</v>
      </c>
      <c r="K10" s="112">
        <f>F10-43781.83</f>
        <v>-3029.3199999999997</v>
      </c>
      <c r="L10" s="112">
        <f>F10/43781.83*100</f>
        <v>93.08087396072754</v>
      </c>
      <c r="M10" s="111">
        <v>27490</v>
      </c>
      <c r="N10" s="179">
        <f>F10-січень!F10</f>
        <v>13868.670000000002</v>
      </c>
      <c r="O10" s="112">
        <f aca="true" t="shared" si="4" ref="O10:O32">N10-M10</f>
        <v>-13621.329999999998</v>
      </c>
      <c r="P10" s="42">
        <f aca="true" t="shared" si="5" ref="P10:P18">N10/M10*100</f>
        <v>50.449872680974906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2941.72</v>
      </c>
      <c r="G11" s="109">
        <f t="shared" si="0"/>
        <v>-993.2200000000003</v>
      </c>
      <c r="H11" s="32">
        <f t="shared" si="1"/>
        <v>74.75895439320549</v>
      </c>
      <c r="I11" s="110">
        <f t="shared" si="2"/>
        <v>-20058.28</v>
      </c>
      <c r="J11" s="110">
        <f t="shared" si="3"/>
        <v>12.790086956521737</v>
      </c>
      <c r="K11" s="112">
        <f>F11-3453.77</f>
        <v>-512.0500000000002</v>
      </c>
      <c r="L11" s="112">
        <f>F11/3453.77*100</f>
        <v>85.17417199176552</v>
      </c>
      <c r="M11" s="111">
        <v>1250</v>
      </c>
      <c r="N11" s="179">
        <f>F11-січень!F11</f>
        <v>256.77999999999975</v>
      </c>
      <c r="O11" s="112">
        <f t="shared" si="4"/>
        <v>-993.2200000000003</v>
      </c>
      <c r="P11" s="42">
        <f t="shared" si="5"/>
        <v>20.54239999999998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623.85</v>
      </c>
      <c r="G12" s="109">
        <f t="shared" si="0"/>
        <v>-1.759999999999991</v>
      </c>
      <c r="H12" s="32">
        <f t="shared" si="1"/>
        <v>99.71867457361616</v>
      </c>
      <c r="I12" s="110">
        <f t="shared" si="2"/>
        <v>-5876.15</v>
      </c>
      <c r="J12" s="110">
        <f t="shared" si="3"/>
        <v>9.59769230769231</v>
      </c>
      <c r="K12" s="112">
        <f>F12-805.51</f>
        <v>-181.65999999999997</v>
      </c>
      <c r="L12" s="112">
        <f>F12/805.51*100</f>
        <v>77.44782808407096</v>
      </c>
      <c r="M12" s="111">
        <v>192</v>
      </c>
      <c r="N12" s="179">
        <f>F12-січень!F12</f>
        <v>190.24</v>
      </c>
      <c r="O12" s="112">
        <f t="shared" si="4"/>
        <v>-1.759999999999991</v>
      </c>
      <c r="P12" s="42">
        <f t="shared" si="5"/>
        <v>99.08333333333333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671.75</v>
      </c>
      <c r="G13" s="109">
        <f t="shared" si="0"/>
        <v>-358.08500000000004</v>
      </c>
      <c r="H13" s="32">
        <f t="shared" si="1"/>
        <v>65.22889589108935</v>
      </c>
      <c r="I13" s="110">
        <f t="shared" si="2"/>
        <v>-11728.25</v>
      </c>
      <c r="J13" s="110">
        <f t="shared" si="3"/>
        <v>5.41733870967742</v>
      </c>
      <c r="K13" s="112">
        <f>F13-707.92</f>
        <v>-36.16999999999996</v>
      </c>
      <c r="L13" s="112">
        <f>F13/707.92*100</f>
        <v>94.89066561193356</v>
      </c>
      <c r="M13" s="111">
        <v>820</v>
      </c>
      <c r="N13" s="179">
        <f>F13-січень!F13</f>
        <v>461.90999999999997</v>
      </c>
      <c r="O13" s="112">
        <f t="shared" si="4"/>
        <v>-358.09000000000003</v>
      </c>
      <c r="P13" s="42">
        <f t="shared" si="5"/>
        <v>56.33048780487805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227.35</v>
      </c>
      <c r="G14" s="109">
        <f t="shared" si="0"/>
        <v>-398.68999999999994</v>
      </c>
      <c r="H14" s="32">
        <f t="shared" si="1"/>
        <v>36.31557089003898</v>
      </c>
      <c r="I14" s="110">
        <f t="shared" si="2"/>
        <v>-6132.65</v>
      </c>
      <c r="J14" s="110">
        <f t="shared" si="3"/>
        <v>3.5746855345911945</v>
      </c>
      <c r="K14" s="112">
        <f>F14-938.46</f>
        <v>-711.11</v>
      </c>
      <c r="L14" s="112">
        <f>F14/938.46*100</f>
        <v>24.22585938665473</v>
      </c>
      <c r="M14" s="111">
        <v>625</v>
      </c>
      <c r="N14" s="179">
        <f>F14-січень!F14</f>
        <v>226.31</v>
      </c>
      <c r="O14" s="112">
        <f t="shared" si="4"/>
        <v>-398.69</v>
      </c>
      <c r="P14" s="42">
        <f t="shared" si="5"/>
        <v>36.2096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12.31</v>
      </c>
      <c r="G15" s="36">
        <f t="shared" si="0"/>
        <v>12.31</v>
      </c>
      <c r="H15" s="32"/>
      <c r="I15" s="42">
        <f t="shared" si="2"/>
        <v>-487.69</v>
      </c>
      <c r="J15" s="42">
        <f t="shared" si="3"/>
        <v>2.4619999999999997</v>
      </c>
      <c r="K15" s="43">
        <f>F15-(-976.48)</f>
        <v>988.79</v>
      </c>
      <c r="L15" s="43">
        <f>F15/(-976.48)*100</f>
        <v>-1.2606504997542192</v>
      </c>
      <c r="M15" s="32">
        <v>0</v>
      </c>
      <c r="N15" s="178">
        <f>F15-січень!F15</f>
        <v>12.31</v>
      </c>
      <c r="O15" s="40">
        <f t="shared" si="4"/>
        <v>12.31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</v>
      </c>
      <c r="G17" s="36">
        <f t="shared" si="0"/>
        <v>0</v>
      </c>
      <c r="H17" s="32" t="e">
        <f t="shared" si="1"/>
        <v>#DIV/0!</v>
      </c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2">
        <f>E17-січень!E17</f>
        <v>0</v>
      </c>
      <c r="N17" s="178">
        <f>F17-січень!F17</f>
        <v>0</v>
      </c>
      <c r="O17" s="40">
        <f t="shared" si="4"/>
        <v>0</v>
      </c>
      <c r="P17" s="42" t="e">
        <f t="shared" si="5"/>
        <v>#DIV/0!</v>
      </c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5648.2</v>
      </c>
      <c r="G19" s="36">
        <f t="shared" si="0"/>
        <v>-6412.2</v>
      </c>
      <c r="H19" s="32">
        <f aca="true" t="shared" si="6" ref="H19:H31">F19/E19*100</f>
        <v>46.8326092003582</v>
      </c>
      <c r="I19" s="42">
        <f t="shared" si="2"/>
        <v>-104251.8</v>
      </c>
      <c r="J19" s="42">
        <f t="shared" si="3"/>
        <v>5.139399454049135</v>
      </c>
      <c r="K19" s="133">
        <f>F19-3525.13</f>
        <v>2123.0699999999997</v>
      </c>
      <c r="L19" s="40">
        <f>F19/3525.13*100</f>
        <v>160.22671504313314</v>
      </c>
      <c r="M19" s="32">
        <v>6500</v>
      </c>
      <c r="N19" s="178">
        <f>F19-січень!F19</f>
        <v>87.80000000000018</v>
      </c>
      <c r="O19" s="40">
        <f t="shared" si="4"/>
        <v>-6412.2</v>
      </c>
      <c r="P19" s="42">
        <f aca="true" t="shared" si="7" ref="P19:P25">N19/M19*100</f>
        <v>1.3507692307692336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73">
        <f>F21+F25+F27+F26</f>
        <v>36885.12</v>
      </c>
      <c r="G20" s="36">
        <f t="shared" si="0"/>
        <v>-13166.984999999993</v>
      </c>
      <c r="H20" s="32">
        <f t="shared" si="6"/>
        <v>73.69344406194305</v>
      </c>
      <c r="I20" s="42">
        <f t="shared" si="2"/>
        <v>-234054.88</v>
      </c>
      <c r="J20" s="42">
        <f t="shared" si="3"/>
        <v>13.613759503949217</v>
      </c>
      <c r="K20" s="132">
        <f>F20-37103.23</f>
        <v>-218.11000000000058</v>
      </c>
      <c r="L20" s="110">
        <f>F20/37103.23*100</f>
        <v>99.41215360495569</v>
      </c>
      <c r="M20" s="32">
        <f>M21+M25+M26+M27</f>
        <v>25265</v>
      </c>
      <c r="N20" s="178">
        <f>F20-січень!F20</f>
        <v>12088.060000000001</v>
      </c>
      <c r="O20" s="40">
        <f t="shared" si="4"/>
        <v>-13176.939999999999</v>
      </c>
      <c r="P20" s="42">
        <f t="shared" si="7"/>
        <v>47.84508212942807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13377.07</v>
      </c>
      <c r="G21" s="36">
        <f t="shared" si="0"/>
        <v>-10119.189999999999</v>
      </c>
      <c r="H21" s="32">
        <f t="shared" si="6"/>
        <v>56.93276291631094</v>
      </c>
      <c r="I21" s="42">
        <f t="shared" si="2"/>
        <v>-148022.93</v>
      </c>
      <c r="J21" s="42">
        <f t="shared" si="3"/>
        <v>8.288147459727385</v>
      </c>
      <c r="K21" s="132">
        <f>F21-15266.79</f>
        <v>-1889.7200000000012</v>
      </c>
      <c r="L21" s="110">
        <f>F21/15266.79*100</f>
        <v>87.62202139415031</v>
      </c>
      <c r="M21" s="32">
        <f>M22+M23+M24</f>
        <v>11597</v>
      </c>
      <c r="N21" s="178">
        <f>F21-січень!F21</f>
        <v>1477.7700000000004</v>
      </c>
      <c r="O21" s="40">
        <f t="shared" si="4"/>
        <v>-10119.23</v>
      </c>
      <c r="P21" s="42">
        <f t="shared" si="7"/>
        <v>12.74269207553678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3240.23</v>
      </c>
      <c r="G22" s="109">
        <f>F22-E22</f>
        <v>-51.36999999999989</v>
      </c>
      <c r="H22" s="111">
        <f t="shared" si="6"/>
        <v>98.43936079718071</v>
      </c>
      <c r="I22" s="110">
        <f t="shared" si="2"/>
        <v>-15259.77</v>
      </c>
      <c r="J22" s="110">
        <f t="shared" si="3"/>
        <v>17.514756756756757</v>
      </c>
      <c r="K22" s="110">
        <f>F22-306.01</f>
        <v>2934.2200000000003</v>
      </c>
      <c r="L22" s="110">
        <f>F22/306.01*100</f>
        <v>1058.8640894088428</v>
      </c>
      <c r="M22" s="111">
        <v>242</v>
      </c>
      <c r="N22" s="179">
        <f>F22-січень!F22</f>
        <v>190.6300000000001</v>
      </c>
      <c r="O22" s="112">
        <f t="shared" si="4"/>
        <v>-51.36999999999989</v>
      </c>
      <c r="P22" s="110">
        <f t="shared" si="7"/>
        <v>78.77272727272732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172.13</v>
      </c>
      <c r="G23" s="109">
        <f>F23-E23</f>
        <v>-29.710000000000008</v>
      </c>
      <c r="H23" s="111">
        <f t="shared" si="6"/>
        <v>85.2804201347602</v>
      </c>
      <c r="I23" s="110">
        <f t="shared" si="2"/>
        <v>-2627.87</v>
      </c>
      <c r="J23" s="110">
        <f t="shared" si="3"/>
        <v>6.147499999999999</v>
      </c>
      <c r="K23" s="110">
        <f>F23-6.25</f>
        <v>165.88</v>
      </c>
      <c r="L23" s="110">
        <f>F23/6.25*100</f>
        <v>2754.08</v>
      </c>
      <c r="M23" s="111">
        <v>45</v>
      </c>
      <c r="N23" s="179">
        <f>F23-січень!F23</f>
        <v>15.259999999999991</v>
      </c>
      <c r="O23" s="112">
        <f t="shared" si="4"/>
        <v>-29.74000000000001</v>
      </c>
      <c r="P23" s="110">
        <f t="shared" si="7"/>
        <v>33.91111111111109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9964.71</v>
      </c>
      <c r="G24" s="109">
        <f>F24-E24</f>
        <v>-10038.11</v>
      </c>
      <c r="H24" s="111">
        <f t="shared" si="6"/>
        <v>49.81652586985235</v>
      </c>
      <c r="I24" s="110">
        <f t="shared" si="2"/>
        <v>-130135.29000000001</v>
      </c>
      <c r="J24" s="110">
        <f t="shared" si="3"/>
        <v>7.112569593147751</v>
      </c>
      <c r="K24" s="174">
        <f>F24-14954.53</f>
        <v>-4989.8200000000015</v>
      </c>
      <c r="L24" s="174">
        <f>F24/14954.53*100</f>
        <v>66.63338801018821</v>
      </c>
      <c r="M24" s="111">
        <v>11310</v>
      </c>
      <c r="N24" s="179">
        <f>F24-січень!F24</f>
        <v>1271.8799999999992</v>
      </c>
      <c r="O24" s="112">
        <f t="shared" si="4"/>
        <v>-10038.12</v>
      </c>
      <c r="P24" s="110">
        <f t="shared" si="7"/>
        <v>11.24562334217506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14.21</v>
      </c>
      <c r="G25" s="36">
        <f>F25-E25</f>
        <v>3.6050000000000004</v>
      </c>
      <c r="H25" s="32">
        <f t="shared" si="6"/>
        <v>133.993399339934</v>
      </c>
      <c r="I25" s="42">
        <f t="shared" si="2"/>
        <v>-62.79</v>
      </c>
      <c r="J25" s="42">
        <f t="shared" si="3"/>
        <v>18.454545454545457</v>
      </c>
      <c r="K25" s="132">
        <f>F25-14.22</f>
        <v>-0.009999999999999787</v>
      </c>
      <c r="L25" s="132">
        <f>F25/14.22*100</f>
        <v>99.929676511955</v>
      </c>
      <c r="M25" s="32">
        <v>8</v>
      </c>
      <c r="N25" s="178">
        <f>F25-січень!F25</f>
        <v>11.600000000000001</v>
      </c>
      <c r="O25" s="40">
        <f t="shared" si="4"/>
        <v>3.6000000000000014</v>
      </c>
      <c r="P25" s="42">
        <f t="shared" si="7"/>
        <v>145.00000000000003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-32.65</v>
      </c>
      <c r="G26" s="36">
        <f aca="true" t="shared" si="8" ref="G26:G32">F26-E26</f>
        <v>-32.65</v>
      </c>
      <c r="H26" s="32"/>
      <c r="I26" s="42">
        <f t="shared" si="2"/>
        <v>-32.65</v>
      </c>
      <c r="J26" s="42"/>
      <c r="K26" s="132">
        <f>F26-87.67</f>
        <v>-120.32</v>
      </c>
      <c r="L26" s="132">
        <f>F26/87.67*100</f>
        <v>-37.24192996464012</v>
      </c>
      <c r="M26" s="32">
        <f>E26-січень!E26</f>
        <v>0</v>
      </c>
      <c r="N26" s="178">
        <f>F26-січень!F26</f>
        <v>-32.3</v>
      </c>
      <c r="O26" s="40">
        <f t="shared" si="4"/>
        <v>-32.3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23526.49</v>
      </c>
      <c r="G27" s="36">
        <f t="shared" si="8"/>
        <v>-3018.75</v>
      </c>
      <c r="H27" s="32">
        <f t="shared" si="6"/>
        <v>88.62790466388701</v>
      </c>
      <c r="I27" s="42">
        <f t="shared" si="2"/>
        <v>-85936.51</v>
      </c>
      <c r="J27" s="42">
        <f t="shared" si="3"/>
        <v>21.492641349131674</v>
      </c>
      <c r="K27" s="106">
        <f>F27-21734.55</f>
        <v>1791.9400000000023</v>
      </c>
      <c r="L27" s="106">
        <f>F27/21734.55*100</f>
        <v>108.24466115010433</v>
      </c>
      <c r="M27" s="32">
        <v>13660</v>
      </c>
      <c r="N27" s="178">
        <f>F27-січень!F27</f>
        <v>10630.990000000002</v>
      </c>
      <c r="O27" s="40">
        <f t="shared" si="4"/>
        <v>-3029.0099999999984</v>
      </c>
      <c r="P27" s="42">
        <f>N27/M27*100</f>
        <v>77.8256954612006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5615.81</v>
      </c>
      <c r="G29" s="109">
        <f t="shared" si="8"/>
        <v>-40.159999999999854</v>
      </c>
      <c r="H29" s="111">
        <f t="shared" si="6"/>
        <v>99.28995380102793</v>
      </c>
      <c r="I29" s="110">
        <f t="shared" si="2"/>
        <v>-21984.19</v>
      </c>
      <c r="J29" s="110">
        <f t="shared" si="3"/>
        <v>20.34713768115942</v>
      </c>
      <c r="K29" s="142">
        <f>F29-5853.24</f>
        <v>-237.42999999999938</v>
      </c>
      <c r="L29" s="142">
        <f>F29/5853.24*100</f>
        <v>95.94361413507734</v>
      </c>
      <c r="M29" s="111">
        <v>3500</v>
      </c>
      <c r="N29" s="179">
        <f>F29-січень!F29</f>
        <v>3459.8400000000006</v>
      </c>
      <c r="O29" s="112">
        <f t="shared" si="4"/>
        <v>-40.1599999999994</v>
      </c>
      <c r="P29" s="110">
        <f>N29/M29*100</f>
        <v>98.85257142857145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17907.42</v>
      </c>
      <c r="G30" s="109">
        <f t="shared" si="8"/>
        <v>-2978.6600000000035</v>
      </c>
      <c r="H30" s="111">
        <f t="shared" si="6"/>
        <v>85.73853973555592</v>
      </c>
      <c r="I30" s="110">
        <f t="shared" si="2"/>
        <v>-63904.58</v>
      </c>
      <c r="J30" s="110">
        <f t="shared" si="3"/>
        <v>21.888500464479534</v>
      </c>
      <c r="K30" s="142">
        <f>F30-15877.68</f>
        <v>2029.739999999998</v>
      </c>
      <c r="L30" s="142">
        <f>F30/15877.68*100</f>
        <v>112.7836056653113</v>
      </c>
      <c r="M30" s="111">
        <v>10160</v>
      </c>
      <c r="N30" s="179">
        <f>F30-січень!F30</f>
        <v>7171.079999999998</v>
      </c>
      <c r="O30" s="112">
        <f t="shared" si="4"/>
        <v>-2988.920000000002</v>
      </c>
      <c r="P30" s="110">
        <f>N30/M30*100</f>
        <v>70.58149606299212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3.19</v>
      </c>
      <c r="G31" s="109">
        <f t="shared" si="8"/>
        <v>-0.0030000000000001137</v>
      </c>
      <c r="H31" s="111">
        <f t="shared" si="6"/>
        <v>99.90604447228311</v>
      </c>
      <c r="I31" s="110">
        <f t="shared" si="2"/>
        <v>-47.81</v>
      </c>
      <c r="J31" s="110">
        <f t="shared" si="3"/>
        <v>6.254901960784314</v>
      </c>
      <c r="K31" s="142">
        <f>F31-3.63</f>
        <v>-0.43999999999999995</v>
      </c>
      <c r="L31" s="142">
        <f>F31/3.63*100</f>
        <v>87.87878787878788</v>
      </c>
      <c r="M31" s="111">
        <v>0</v>
      </c>
      <c r="N31" s="179">
        <f>F31-січень!F31</f>
        <v>0</v>
      </c>
      <c r="O31" s="112">
        <f t="shared" si="4"/>
        <v>0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</f>
        <v>3963.27</v>
      </c>
      <c r="G33" s="15">
        <f>G34+G35+G36+G37+G38+G39+G41+G42+G43+G44+G45+G50+G51+G55</f>
        <v>-971.7560000000003</v>
      </c>
      <c r="H33" s="38">
        <f>F33/E33*100</f>
        <v>80.30899938521094</v>
      </c>
      <c r="I33" s="28">
        <f>F33-D33</f>
        <v>-38856.73</v>
      </c>
      <c r="J33" s="28">
        <f>F33/D33*100</f>
        <v>9.255651564689398</v>
      </c>
      <c r="K33" s="15">
        <f>F33-4883.7</f>
        <v>-920.4299999999998</v>
      </c>
      <c r="L33" s="15">
        <f>F33/4883.7*100</f>
        <v>81.15301922722526</v>
      </c>
      <c r="M33" s="15">
        <f>M34+M35+M36+M37+M38+M39+M41+M42+M43+M44+M45+M50+M51+M55</f>
        <v>2907.3</v>
      </c>
      <c r="N33" s="15">
        <f>N34+N35+N36+N37+N38+N39+N41+N42+N43+N44+N45+N50+N51+N55</f>
        <v>1932.3</v>
      </c>
      <c r="O33" s="15">
        <f>O34+O35+O36+O37+O38+O39+O41+O42+O43+O44+O45+O50+O51+O55</f>
        <v>-975</v>
      </c>
      <c r="P33" s="15">
        <f>N33/M33*100</f>
        <v>66.46372923330925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4.71</v>
      </c>
      <c r="G34" s="36">
        <f>F34-E34</f>
        <v>-45.29</v>
      </c>
      <c r="H34" s="32">
        <f aca="true" t="shared" si="9" ref="H34:H56">F34/E34*100</f>
        <v>9.42</v>
      </c>
      <c r="I34" s="42">
        <f>F34-D34</f>
        <v>-95.29</v>
      </c>
      <c r="J34" s="42">
        <f>F34/D34*100</f>
        <v>4.71</v>
      </c>
      <c r="K34" s="42">
        <f>F34-(-3.86)</f>
        <v>8.57</v>
      </c>
      <c r="L34" s="42">
        <f>F34/(-3.86)*100</f>
        <v>-122.02072538860105</v>
      </c>
      <c r="M34" s="32">
        <v>45.3</v>
      </c>
      <c r="N34" s="178">
        <f>F34-січень!F34</f>
        <v>0</v>
      </c>
      <c r="O34" s="40">
        <f>N34-M34</f>
        <v>-45.3</v>
      </c>
      <c r="P34" s="42">
        <f aca="true" t="shared" si="10" ref="P34:P56">N34/M34*100</f>
        <v>0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-1.22</v>
      </c>
      <c r="G38" s="36">
        <f t="shared" si="11"/>
        <v>-21.22</v>
      </c>
      <c r="H38" s="32">
        <f t="shared" si="9"/>
        <v>-6.1</v>
      </c>
      <c r="I38" s="42">
        <f t="shared" si="12"/>
        <v>-151.22</v>
      </c>
      <c r="J38" s="42">
        <f t="shared" si="14"/>
        <v>-0.8133333333333332</v>
      </c>
      <c r="K38" s="42">
        <f>F38-16.83</f>
        <v>-18.049999999999997</v>
      </c>
      <c r="L38" s="42">
        <f>F38/16.83*100</f>
        <v>-7.2489601901366605</v>
      </c>
      <c r="M38" s="32">
        <v>10</v>
      </c>
      <c r="N38" s="178">
        <f>F38-січень!F38</f>
        <v>5.180000000000001</v>
      </c>
      <c r="O38" s="40">
        <f t="shared" si="13"/>
        <v>-4.819999999999999</v>
      </c>
      <c r="P38" s="42">
        <f t="shared" si="10"/>
        <v>51.800000000000004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914.76</v>
      </c>
      <c r="G41" s="36">
        <f t="shared" si="11"/>
        <v>-424.2550000000001</v>
      </c>
      <c r="H41" s="32">
        <f t="shared" si="9"/>
        <v>68.31588891834669</v>
      </c>
      <c r="I41" s="42">
        <f t="shared" si="12"/>
        <v>-8985.24</v>
      </c>
      <c r="J41" s="42">
        <f t="shared" si="14"/>
        <v>9.24</v>
      </c>
      <c r="K41" s="42">
        <f>F41-1559.47</f>
        <v>-644.71</v>
      </c>
      <c r="L41" s="42">
        <f>F41/1559.47*100</f>
        <v>58.65839035056782</v>
      </c>
      <c r="M41" s="32">
        <v>800</v>
      </c>
      <c r="N41" s="178">
        <f>F41-січень!F41</f>
        <v>375.74</v>
      </c>
      <c r="O41" s="40">
        <f t="shared" si="13"/>
        <v>-424.26</v>
      </c>
      <c r="P41" s="42">
        <f t="shared" si="10"/>
        <v>46.9675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1.14</v>
      </c>
      <c r="G42" s="36">
        <f t="shared" si="11"/>
        <v>-128.86</v>
      </c>
      <c r="H42" s="32">
        <f t="shared" si="9"/>
        <v>0.8769230769230769</v>
      </c>
      <c r="I42" s="42">
        <f t="shared" si="12"/>
        <v>-1498.86</v>
      </c>
      <c r="J42" s="42">
        <f t="shared" si="14"/>
        <v>0.076</v>
      </c>
      <c r="K42" s="42"/>
      <c r="L42" s="42"/>
      <c r="M42" s="32">
        <v>130</v>
      </c>
      <c r="N42" s="178">
        <f>F42-січень!F42</f>
        <v>0.10999999999999988</v>
      </c>
      <c r="O42" s="40">
        <f t="shared" si="13"/>
        <v>-129.89</v>
      </c>
      <c r="P42" s="42">
        <f t="shared" si="10"/>
        <v>0.08461538461538452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1303.31</v>
      </c>
      <c r="G44" s="36">
        <f t="shared" si="11"/>
        <v>-62.92000000000007</v>
      </c>
      <c r="H44" s="32">
        <f t="shared" si="9"/>
        <v>95.39462608784758</v>
      </c>
      <c r="I44" s="42">
        <f t="shared" si="12"/>
        <v>-7196.6900000000005</v>
      </c>
      <c r="J44" s="42">
        <f t="shared" si="14"/>
        <v>15.333058823529411</v>
      </c>
      <c r="K44" s="42">
        <f>F44-1319.2</f>
        <v>-15.8900000000001</v>
      </c>
      <c r="L44" s="42">
        <f>F44/1319.2*100</f>
        <v>98.79548211036992</v>
      </c>
      <c r="M44" s="32">
        <v>650</v>
      </c>
      <c r="N44" s="178">
        <f>F44-січень!F44</f>
        <v>587.0799999999999</v>
      </c>
      <c r="O44" s="40">
        <f t="shared" si="13"/>
        <v>-62.92000000000007</v>
      </c>
      <c r="P44" s="42">
        <f t="shared" si="10"/>
        <v>90.32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681.4</v>
      </c>
      <c r="G45" s="36">
        <f t="shared" si="11"/>
        <v>-214.79000000000008</v>
      </c>
      <c r="H45" s="32">
        <f t="shared" si="9"/>
        <v>76.03298407703723</v>
      </c>
      <c r="I45" s="42">
        <f t="shared" si="12"/>
        <v>-6618.6</v>
      </c>
      <c r="J45" s="42">
        <f t="shared" si="14"/>
        <v>9.334246575342465</v>
      </c>
      <c r="K45" s="132">
        <f>F45-1398.47</f>
        <v>-717.07</v>
      </c>
      <c r="L45" s="132">
        <f>F45/1398.47*100</f>
        <v>48.72467768346836</v>
      </c>
      <c r="M45" s="152">
        <v>488</v>
      </c>
      <c r="N45" s="180">
        <f>F45-січень!F45</f>
        <v>273.2</v>
      </c>
      <c r="O45" s="40">
        <f t="shared" si="13"/>
        <v>-214.8</v>
      </c>
      <c r="P45" s="132">
        <f t="shared" si="10"/>
        <v>55.983606557377044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55.65</v>
      </c>
      <c r="G46" s="36">
        <f t="shared" si="11"/>
        <v>-57.339999999999996</v>
      </c>
      <c r="H46" s="32">
        <f t="shared" si="9"/>
        <v>49.252146207628996</v>
      </c>
      <c r="I46" s="110">
        <f t="shared" si="12"/>
        <v>-1044.35</v>
      </c>
      <c r="J46" s="42">
        <f t="shared" si="14"/>
        <v>5.059090909090909</v>
      </c>
      <c r="K46" s="110">
        <f>F46-139.45</f>
        <v>-83.79999999999998</v>
      </c>
      <c r="L46" s="110">
        <f>F46/139.45*100</f>
        <v>39.90677662244532</v>
      </c>
      <c r="M46" s="111">
        <v>87</v>
      </c>
      <c r="N46" s="179">
        <f>F46-січень!F46</f>
        <v>29.66</v>
      </c>
      <c r="O46" s="112">
        <f t="shared" si="13"/>
        <v>-57.34</v>
      </c>
      <c r="P46" s="132">
        <f t="shared" si="10"/>
        <v>34.09195402298851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0.05</v>
      </c>
      <c r="G47" s="36">
        <f t="shared" si="11"/>
        <v>-0.9849999999999999</v>
      </c>
      <c r="H47" s="32">
        <f t="shared" si="9"/>
        <v>4.830917874396136</v>
      </c>
      <c r="I47" s="110">
        <f t="shared" si="12"/>
        <v>-44.95</v>
      </c>
      <c r="J47" s="42">
        <f t="shared" si="14"/>
        <v>0.1111111111111111</v>
      </c>
      <c r="K47" s="110">
        <f>F47-1.07</f>
        <v>-1.02</v>
      </c>
      <c r="L47" s="110">
        <f>F47/1.27*100</f>
        <v>3.937007874015748</v>
      </c>
      <c r="M47" s="111">
        <v>1</v>
      </c>
      <c r="N47" s="179">
        <f>F47-січень!F47</f>
        <v>0.010000000000000002</v>
      </c>
      <c r="O47" s="112">
        <f t="shared" si="13"/>
        <v>-0.99</v>
      </c>
      <c r="P47" s="132">
        <f t="shared" si="10"/>
        <v>1.0000000000000002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625.7</v>
      </c>
      <c r="G49" s="36">
        <f t="shared" si="11"/>
        <v>-156.4699999999999</v>
      </c>
      <c r="H49" s="32">
        <f t="shared" si="9"/>
        <v>79.99539741999821</v>
      </c>
      <c r="I49" s="110">
        <f t="shared" si="12"/>
        <v>-5528.3</v>
      </c>
      <c r="J49" s="42">
        <f t="shared" si="14"/>
        <v>10.167370815729608</v>
      </c>
      <c r="K49" s="110">
        <f>F49-1257.34</f>
        <v>-631.6399999999999</v>
      </c>
      <c r="L49" s="110">
        <f>F49/1257.34*100</f>
        <v>49.76378704248653</v>
      </c>
      <c r="M49" s="111">
        <v>400</v>
      </c>
      <c r="N49" s="179">
        <f>F49-січень!F49</f>
        <v>243.53000000000003</v>
      </c>
      <c r="O49" s="112">
        <f t="shared" si="13"/>
        <v>-156.46999999999997</v>
      </c>
      <c r="P49" s="132">
        <f t="shared" si="10"/>
        <v>60.88250000000001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0.17</v>
      </c>
      <c r="G50" s="36">
        <f t="shared" si="11"/>
        <v>-0.0010000000000000009</v>
      </c>
      <c r="H50" s="32">
        <f t="shared" si="9"/>
        <v>99.41520467836257</v>
      </c>
      <c r="I50" s="42">
        <f t="shared" si="12"/>
        <v>-9.83</v>
      </c>
      <c r="J50" s="42">
        <f t="shared" si="14"/>
        <v>1.7000000000000002</v>
      </c>
      <c r="K50" s="42">
        <f>F50-0</f>
        <v>0.17</v>
      </c>
      <c r="L50" s="42"/>
      <c r="M50" s="32">
        <v>0</v>
      </c>
      <c r="N50" s="178">
        <f>F50-січень!F50</f>
        <v>0</v>
      </c>
      <c r="O50" s="40">
        <f t="shared" si="13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570.23</v>
      </c>
      <c r="G51" s="36">
        <f t="shared" si="11"/>
        <v>-67.75</v>
      </c>
      <c r="H51" s="32">
        <f t="shared" si="9"/>
        <v>89.38054484466598</v>
      </c>
      <c r="I51" s="42">
        <f t="shared" si="12"/>
        <v>-4229.77</v>
      </c>
      <c r="J51" s="42">
        <f t="shared" si="14"/>
        <v>11.879791666666668</v>
      </c>
      <c r="K51" s="42">
        <f>F51-590.24</f>
        <v>-20.00999999999999</v>
      </c>
      <c r="L51" s="42">
        <f>F51/590.24*100</f>
        <v>96.60985361886691</v>
      </c>
      <c r="M51" s="32">
        <v>320</v>
      </c>
      <c r="N51" s="178">
        <f>F51-січень!F51</f>
        <v>252.25</v>
      </c>
      <c r="O51" s="40">
        <f t="shared" si="13"/>
        <v>-67.75</v>
      </c>
      <c r="P51" s="42">
        <f t="shared" si="10"/>
        <v>78.828125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128.6</v>
      </c>
      <c r="G53" s="36"/>
      <c r="H53" s="32"/>
      <c r="I53" s="42"/>
      <c r="J53" s="42"/>
      <c r="K53" s="112">
        <f>F53-142.7</f>
        <v>-14.099999999999994</v>
      </c>
      <c r="L53" s="112">
        <f>F53/142.7*100</f>
        <v>90.11913104414857</v>
      </c>
      <c r="M53" s="111"/>
      <c r="N53" s="179">
        <f>F53-січень!F53</f>
        <v>58.39999999999999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1</v>
      </c>
      <c r="G56" s="36">
        <f t="shared" si="11"/>
        <v>-2</v>
      </c>
      <c r="H56" s="32">
        <f t="shared" si="9"/>
        <v>33.33333333333333</v>
      </c>
      <c r="I56" s="42">
        <f t="shared" si="12"/>
        <v>-29</v>
      </c>
      <c r="J56" s="42">
        <f t="shared" si="14"/>
        <v>3.3333333333333335</v>
      </c>
      <c r="K56" s="42">
        <f>F56-3.3</f>
        <v>-2.3</v>
      </c>
      <c r="L56" s="42">
        <f>F56/3.3*100</f>
        <v>30.303030303030305</v>
      </c>
      <c r="M56" s="32">
        <v>2</v>
      </c>
      <c r="N56" s="178">
        <f>F56-січень!F56</f>
        <v>0</v>
      </c>
      <c r="O56" s="40">
        <f t="shared" si="13"/>
        <v>-2</v>
      </c>
      <c r="P56" s="42">
        <f t="shared" si="10"/>
        <v>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91832.88</v>
      </c>
      <c r="G58" s="37">
        <f>F58-E58</f>
        <v>-35817.91599999998</v>
      </c>
      <c r="H58" s="38">
        <f>F58/E58*100</f>
        <v>71.9407029784601</v>
      </c>
      <c r="I58" s="28">
        <f>F58-D58</f>
        <v>-792067.72</v>
      </c>
      <c r="J58" s="28">
        <f>F58/D58*100</f>
        <v>10.389503073083105</v>
      </c>
      <c r="K58" s="28">
        <f>F58-96241.42</f>
        <v>-4408.539999999994</v>
      </c>
      <c r="L58" s="28">
        <f>F58/96241.42*100</f>
        <v>95.419290363754</v>
      </c>
      <c r="M58" s="15">
        <f>M8+M33+M56+M57</f>
        <v>65061.3</v>
      </c>
      <c r="N58" s="15">
        <f>N8+N33+N56+N57</f>
        <v>29220.28</v>
      </c>
      <c r="O58" s="41">
        <f>N58-M58</f>
        <v>-35841.020000000004</v>
      </c>
      <c r="P58" s="28">
        <f>N58/M58*100</f>
        <v>44.91192152631441</v>
      </c>
      <c r="Q58" s="28">
        <f>N58-34768</f>
        <v>-5547.720000000001</v>
      </c>
      <c r="R58" s="128">
        <f>N58/34768</f>
        <v>0.8404360331339162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8.75</v>
      </c>
      <c r="G63" s="36"/>
      <c r="H63" s="32"/>
      <c r="I63" s="43"/>
      <c r="J63" s="43"/>
      <c r="K63" s="43">
        <f>F63-0</f>
        <v>8.75</v>
      </c>
      <c r="L63" s="43"/>
      <c r="M63" s="33"/>
      <c r="N63" s="181">
        <f>F63-січень!F63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F65-(-14.65)</f>
        <v>23.130000000000003</v>
      </c>
      <c r="L65" s="44">
        <f>F65/(-14.65)*100</f>
        <v>-57.8839590443686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0.07</v>
      </c>
      <c r="G67" s="36">
        <f aca="true" t="shared" si="15" ref="G67:G77">F67-E67</f>
        <v>0.07</v>
      </c>
      <c r="H67" s="32"/>
      <c r="I67" s="43">
        <f aca="true" t="shared" si="16" ref="I67:I77">F67-D67</f>
        <v>-4199.93</v>
      </c>
      <c r="J67" s="43">
        <f>F67/D67*100</f>
        <v>0.0016666666666666668</v>
      </c>
      <c r="K67" s="43">
        <f>F67-0.08</f>
        <v>-0.009999999999999995</v>
      </c>
      <c r="L67" s="43">
        <f>F67/0.08*100</f>
        <v>87.50000000000001</v>
      </c>
      <c r="M67" s="32">
        <v>0</v>
      </c>
      <c r="N67" s="178">
        <f>F67-січень!F67</f>
        <v>0.010000000000000009</v>
      </c>
      <c r="O67" s="40">
        <f aca="true" t="shared" si="17" ref="O67:O80">N67-M67</f>
        <v>0.010000000000000009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34.56</v>
      </c>
      <c r="G68" s="36">
        <f t="shared" si="15"/>
        <v>-1097.8400000000001</v>
      </c>
      <c r="H68" s="32">
        <f>F68/E68*100</f>
        <v>3.0519251148004236</v>
      </c>
      <c r="I68" s="43">
        <f t="shared" si="16"/>
        <v>-7424.44</v>
      </c>
      <c r="J68" s="43">
        <f>F68/D68*100</f>
        <v>0.4633328864459043</v>
      </c>
      <c r="K68" s="43">
        <f>F68-414.12</f>
        <v>-379.56</v>
      </c>
      <c r="L68" s="43">
        <f>F68/414.12*100</f>
        <v>8.34540712836859</v>
      </c>
      <c r="M68" s="32">
        <v>1109.5</v>
      </c>
      <c r="N68" s="178">
        <f>F68-січень!F68</f>
        <v>11.650000000000002</v>
      </c>
      <c r="O68" s="40">
        <f t="shared" si="17"/>
        <v>-1097.85</v>
      </c>
      <c r="P68" s="43">
        <f>N68/M68*100</f>
        <v>1.050022532672375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418.66</v>
      </c>
      <c r="G69" s="36">
        <f t="shared" si="15"/>
        <v>-166.19</v>
      </c>
      <c r="H69" s="32">
        <f>F69/E69*100</f>
        <v>71.58416688039668</v>
      </c>
      <c r="I69" s="43">
        <f t="shared" si="16"/>
        <v>-5581.34</v>
      </c>
      <c r="J69" s="43">
        <f>F69/D69*100</f>
        <v>6.977666666666667</v>
      </c>
      <c r="K69" s="43">
        <f>F69-(-1.6)</f>
        <v>420.26000000000005</v>
      </c>
      <c r="L69" s="43">
        <f>F69/(-1.6)*100</f>
        <v>-26166.250000000004</v>
      </c>
      <c r="M69" s="32">
        <v>302</v>
      </c>
      <c r="N69" s="178">
        <f>F69-січень!F69</f>
        <v>135.81</v>
      </c>
      <c r="O69" s="40">
        <f t="shared" si="17"/>
        <v>-166.19</v>
      </c>
      <c r="P69" s="43">
        <f>N69/M69*100</f>
        <v>44.97019867549669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455.29</v>
      </c>
      <c r="G71" s="45">
        <f t="shared" si="15"/>
        <v>-1263.96</v>
      </c>
      <c r="H71" s="52">
        <f>F71/E71*100</f>
        <v>26.481896175657994</v>
      </c>
      <c r="I71" s="44">
        <f t="shared" si="16"/>
        <v>-17215.71</v>
      </c>
      <c r="J71" s="44">
        <f>F71/D71*100</f>
        <v>2.576481240450456</v>
      </c>
      <c r="K71" s="44">
        <f>F71-412.6</f>
        <v>42.69</v>
      </c>
      <c r="L71" s="44">
        <f>F71/412.6*100</f>
        <v>110.3465826466311</v>
      </c>
      <c r="M71" s="45">
        <f>M67+M68+M69+M70</f>
        <v>1412.5</v>
      </c>
      <c r="N71" s="183">
        <f>N67+N68+N69+N70</f>
        <v>148.47</v>
      </c>
      <c r="O71" s="44">
        <f t="shared" si="17"/>
        <v>-1264.03</v>
      </c>
      <c r="P71" s="44">
        <f>N71/M71*100</f>
        <v>10.511150442477875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</v>
      </c>
      <c r="G72" s="36">
        <f t="shared" si="15"/>
        <v>0</v>
      </c>
      <c r="H72" s="32"/>
      <c r="I72" s="43">
        <f t="shared" si="16"/>
        <v>-1</v>
      </c>
      <c r="J72" s="43"/>
      <c r="K72" s="43">
        <f>F72-0</f>
        <v>0</v>
      </c>
      <c r="L72" s="43"/>
      <c r="M72" s="32"/>
      <c r="N72" s="178">
        <f>F72-січень!F72</f>
        <v>0</v>
      </c>
      <c r="O72" s="40">
        <f t="shared" si="17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23.54</v>
      </c>
      <c r="G74" s="36">
        <f t="shared" si="15"/>
        <v>-1981.3600000000001</v>
      </c>
      <c r="H74" s="32">
        <f>F74/E74*100</f>
        <v>1.1741233976756944</v>
      </c>
      <c r="I74" s="43">
        <f t="shared" si="16"/>
        <v>-9476.46</v>
      </c>
      <c r="J74" s="40">
        <f>F74/D74*100</f>
        <v>0.2477894736842105</v>
      </c>
      <c r="K74" s="40">
        <f>F74-0</f>
        <v>23.54</v>
      </c>
      <c r="L74" s="43"/>
      <c r="M74" s="32">
        <v>2004.9</v>
      </c>
      <c r="N74" s="178">
        <v>0</v>
      </c>
      <c r="O74" s="40">
        <f>N74-M74</f>
        <v>-2004.9</v>
      </c>
      <c r="P74" s="46">
        <f>N74/M74*100</f>
        <v>0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0.12</v>
      </c>
      <c r="G75" s="36">
        <f t="shared" si="15"/>
        <v>0.12</v>
      </c>
      <c r="H75" s="32"/>
      <c r="I75" s="43">
        <f t="shared" si="16"/>
        <v>0.12</v>
      </c>
      <c r="J75" s="43"/>
      <c r="K75" s="43">
        <f>F75-0.49</f>
        <v>-0.37</v>
      </c>
      <c r="L75" s="43">
        <f>F75/0.49*100</f>
        <v>24.489795918367346</v>
      </c>
      <c r="M75" s="32"/>
      <c r="N75" s="178">
        <f>F75-січень!F74</f>
        <v>0</v>
      </c>
      <c r="O75" s="40">
        <f t="shared" si="17"/>
        <v>0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23.66</v>
      </c>
      <c r="G76" s="30">
        <f>G72+G75+G73+G74</f>
        <v>-1981.2400000000002</v>
      </c>
      <c r="H76" s="52">
        <f>F76/E76*100</f>
        <v>1.1801087336026734</v>
      </c>
      <c r="I76" s="44">
        <f t="shared" si="16"/>
        <v>-9477.34</v>
      </c>
      <c r="J76" s="44">
        <f>F76/D76*100</f>
        <v>0.24902641827176086</v>
      </c>
      <c r="K76" s="44">
        <f>F76-0.49</f>
        <v>23.17</v>
      </c>
      <c r="L76" s="44">
        <f>F76/0.49*100</f>
        <v>4828.571428571428</v>
      </c>
      <c r="M76" s="45">
        <f>M72+M75+M73+M74</f>
        <v>2004.9</v>
      </c>
      <c r="N76" s="183">
        <f>N72+N75+N73+N74</f>
        <v>0</v>
      </c>
      <c r="O76" s="45">
        <f>O72+O75+O73+O74</f>
        <v>-2004.9</v>
      </c>
      <c r="P76" s="44">
        <f>N76/M76*100</f>
        <v>0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0.35</v>
      </c>
      <c r="G77" s="36">
        <f t="shared" si="15"/>
        <v>-0.37</v>
      </c>
      <c r="H77" s="32">
        <f>F77/E77*100</f>
        <v>48.61111111111111</v>
      </c>
      <c r="I77" s="43">
        <f t="shared" si="16"/>
        <v>-42.65</v>
      </c>
      <c r="J77" s="43">
        <f>F77/D77*100</f>
        <v>0.813953488372093</v>
      </c>
      <c r="K77" s="43">
        <f>F77-0.96</f>
        <v>-0.61</v>
      </c>
      <c r="L77" s="43">
        <f>F77/0.96*100</f>
        <v>36.45833333333333</v>
      </c>
      <c r="M77" s="32">
        <v>0.375</v>
      </c>
      <c r="N77" s="178">
        <f>F77-січень!F76</f>
        <v>0</v>
      </c>
      <c r="O77" s="40">
        <f t="shared" si="17"/>
        <v>-0.375</v>
      </c>
      <c r="P77" s="43">
        <f>N77/M77</f>
        <v>0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487.78000000000003</v>
      </c>
      <c r="G79" s="37">
        <f>F79-E79</f>
        <v>-3237.0899999999997</v>
      </c>
      <c r="H79" s="38">
        <f>F79/E79*100</f>
        <v>13.09522211513422</v>
      </c>
      <c r="I79" s="28">
        <f>F79-D79</f>
        <v>-26727.22</v>
      </c>
      <c r="J79" s="28">
        <f>F79/D79*100</f>
        <v>1.792320411537755</v>
      </c>
      <c r="K79" s="28">
        <f>K65+K71+K76+K77</f>
        <v>88.38</v>
      </c>
      <c r="L79" s="28">
        <f>F79/399.4*100</f>
        <v>122.12819228843266</v>
      </c>
      <c r="M79" s="24">
        <f>M65+M77+M71+M76</f>
        <v>3417.775</v>
      </c>
      <c r="N79" s="24">
        <f>N65+N77+N71+N76+N78</f>
        <v>148.47</v>
      </c>
      <c r="O79" s="28">
        <f t="shared" si="17"/>
        <v>-3269.3050000000003</v>
      </c>
      <c r="P79" s="28">
        <f>N79/M79*100</f>
        <v>4.34405424581782</v>
      </c>
      <c r="Q79" s="28">
        <f>N79-8104.96</f>
        <v>-7956.49</v>
      </c>
      <c r="R79" s="101">
        <f>N79/8104.96</f>
        <v>0.018318412428932406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92320.66</v>
      </c>
      <c r="G80" s="37">
        <f>F80-E80</f>
        <v>-39055.005999999994</v>
      </c>
      <c r="H80" s="38">
        <f>F80/E80*100</f>
        <v>70.2722679251727</v>
      </c>
      <c r="I80" s="28">
        <f>F80-D80</f>
        <v>-818794.94</v>
      </c>
      <c r="J80" s="28">
        <f>F80/D80*100</f>
        <v>10.132705443743912</v>
      </c>
      <c r="K80" s="28">
        <f>K58+K79</f>
        <v>-4320.1599999999935</v>
      </c>
      <c r="L80" s="28">
        <f>F80/96640.82*100</f>
        <v>95.5296736927522</v>
      </c>
      <c r="M80" s="15">
        <f>M58+M79</f>
        <v>68479.075</v>
      </c>
      <c r="N80" s="15">
        <f>N58+N79</f>
        <v>29368.75</v>
      </c>
      <c r="O80" s="28">
        <f t="shared" si="17"/>
        <v>-39110.325</v>
      </c>
      <c r="P80" s="28">
        <f>N80/M80*100</f>
        <v>42.88718853167921</v>
      </c>
      <c r="Q80" s="28">
        <f>N80-42872.96</f>
        <v>-13504.21</v>
      </c>
      <c r="R80" s="101">
        <f>N80/42872.96</f>
        <v>0.6850180160175552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11</v>
      </c>
      <c r="D82" s="4" t="s">
        <v>36</v>
      </c>
    </row>
    <row r="83" spans="2:17" ht="30.75">
      <c r="B83" s="57" t="s">
        <v>54</v>
      </c>
      <c r="C83" s="31">
        <f>IF(O58&lt;0,ABS(O58/C82),0)</f>
        <v>3258.2745454545457</v>
      </c>
      <c r="D83" s="4" t="s">
        <v>24</v>
      </c>
      <c r="G83" s="209"/>
      <c r="H83" s="209"/>
      <c r="I83" s="209"/>
      <c r="J83" s="209"/>
      <c r="K83" s="90"/>
      <c r="L83" s="90"/>
      <c r="P83" s="26"/>
      <c r="Q83" s="26"/>
    </row>
    <row r="84" spans="2:15" ht="34.5" customHeight="1">
      <c r="B84" s="58" t="s">
        <v>56</v>
      </c>
      <c r="C84" s="87">
        <v>42412</v>
      </c>
      <c r="D84" s="31">
        <v>3037.5</v>
      </c>
      <c r="G84" s="4" t="s">
        <v>59</v>
      </c>
      <c r="N84" s="210"/>
      <c r="O84" s="210"/>
    </row>
    <row r="85" spans="3:15" ht="15">
      <c r="C85" s="87">
        <v>42411</v>
      </c>
      <c r="D85" s="31">
        <v>2465.9</v>
      </c>
      <c r="F85" s="124" t="s">
        <v>59</v>
      </c>
      <c r="G85" s="211"/>
      <c r="H85" s="211"/>
      <c r="I85" s="131"/>
      <c r="J85" s="212"/>
      <c r="K85" s="212"/>
      <c r="L85" s="212"/>
      <c r="M85" s="212"/>
      <c r="N85" s="210"/>
      <c r="O85" s="210"/>
    </row>
    <row r="86" spans="3:15" ht="15.75" customHeight="1">
      <c r="C86" s="87">
        <v>42410</v>
      </c>
      <c r="D86" s="31">
        <v>2612.3</v>
      </c>
      <c r="F86" s="73"/>
      <c r="G86" s="211"/>
      <c r="H86" s="211"/>
      <c r="I86" s="131"/>
      <c r="J86" s="213"/>
      <c r="K86" s="213"/>
      <c r="L86" s="213"/>
      <c r="M86" s="213"/>
      <c r="N86" s="210"/>
      <c r="O86" s="210"/>
    </row>
    <row r="87" spans="3:13" ht="15.75" customHeight="1">
      <c r="C87" s="87"/>
      <c r="F87" s="73"/>
      <c r="G87" s="217"/>
      <c r="H87" s="217"/>
      <c r="I87" s="139"/>
      <c r="J87" s="212"/>
      <c r="K87" s="212"/>
      <c r="L87" s="212"/>
      <c r="M87" s="212"/>
    </row>
    <row r="88" spans="2:13" ht="18.75" customHeight="1">
      <c r="B88" s="218" t="s">
        <v>57</v>
      </c>
      <c r="C88" s="219"/>
      <c r="D88" s="148">
        <v>449.3916</v>
      </c>
      <c r="E88" s="74"/>
      <c r="F88" s="140" t="s">
        <v>139</v>
      </c>
      <c r="G88" s="211"/>
      <c r="H88" s="211"/>
      <c r="I88" s="141"/>
      <c r="J88" s="212"/>
      <c r="K88" s="212"/>
      <c r="L88" s="212"/>
      <c r="M88" s="212"/>
    </row>
    <row r="89" spans="6:12" ht="9.75" customHeight="1">
      <c r="F89" s="73"/>
      <c r="G89" s="211"/>
      <c r="H89" s="211"/>
      <c r="I89" s="73"/>
      <c r="J89" s="74"/>
      <c r="K89" s="74"/>
      <c r="L89" s="74"/>
    </row>
    <row r="90" spans="2:12" ht="22.5" customHeight="1" hidden="1">
      <c r="B90" s="214" t="s">
        <v>60</v>
      </c>
      <c r="C90" s="215"/>
      <c r="D90" s="86">
        <v>0</v>
      </c>
      <c r="E90" s="56" t="s">
        <v>24</v>
      </c>
      <c r="F90" s="73"/>
      <c r="G90" s="211"/>
      <c r="H90" s="21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1"/>
      <c r="O91" s="211"/>
    </row>
    <row r="92" spans="4:15" ht="15">
      <c r="D92" s="83"/>
      <c r="I92" s="31"/>
      <c r="N92" s="216"/>
      <c r="O92" s="216"/>
    </row>
    <row r="93" spans="14:15" ht="15">
      <c r="N93" s="211"/>
      <c r="O93" s="211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1">
      <selection activeCell="M2" sqref="M1:R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92"/>
      <c r="R1" s="93"/>
    </row>
    <row r="2" spans="2:18" s="1" customFormat="1" ht="15.75" customHeight="1">
      <c r="B2" s="185"/>
      <c r="C2" s="185"/>
      <c r="D2" s="185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186"/>
      <c r="B3" s="188" t="s">
        <v>135</v>
      </c>
      <c r="C3" s="189" t="s">
        <v>0</v>
      </c>
      <c r="D3" s="190" t="s">
        <v>121</v>
      </c>
      <c r="E3" s="34"/>
      <c r="F3" s="191" t="s">
        <v>26</v>
      </c>
      <c r="G3" s="192"/>
      <c r="H3" s="192"/>
      <c r="I3" s="192"/>
      <c r="J3" s="193"/>
      <c r="K3" s="89"/>
      <c r="L3" s="89"/>
      <c r="M3" s="194" t="s">
        <v>132</v>
      </c>
      <c r="N3" s="197" t="s">
        <v>66</v>
      </c>
      <c r="O3" s="197"/>
      <c r="P3" s="197"/>
      <c r="Q3" s="197"/>
      <c r="R3" s="197"/>
    </row>
    <row r="4" spans="1:18" ht="22.5" customHeight="1">
      <c r="A4" s="186"/>
      <c r="B4" s="188"/>
      <c r="C4" s="189"/>
      <c r="D4" s="190"/>
      <c r="E4" s="198" t="s">
        <v>129</v>
      </c>
      <c r="F4" s="220" t="s">
        <v>34</v>
      </c>
      <c r="G4" s="202" t="s">
        <v>130</v>
      </c>
      <c r="H4" s="195" t="s">
        <v>131</v>
      </c>
      <c r="I4" s="202" t="s">
        <v>122</v>
      </c>
      <c r="J4" s="195" t="s">
        <v>123</v>
      </c>
      <c r="K4" s="91" t="s">
        <v>65</v>
      </c>
      <c r="L4" s="96" t="s">
        <v>64</v>
      </c>
      <c r="M4" s="195"/>
      <c r="N4" s="222" t="s">
        <v>133</v>
      </c>
      <c r="O4" s="202" t="s">
        <v>50</v>
      </c>
      <c r="P4" s="206" t="s">
        <v>49</v>
      </c>
      <c r="Q4" s="97" t="s">
        <v>65</v>
      </c>
      <c r="R4" s="98" t="s">
        <v>64</v>
      </c>
    </row>
    <row r="5" spans="1:18" ht="92.25" customHeight="1">
      <c r="A5" s="187"/>
      <c r="B5" s="188"/>
      <c r="C5" s="189"/>
      <c r="D5" s="190"/>
      <c r="E5" s="199"/>
      <c r="F5" s="221"/>
      <c r="G5" s="203"/>
      <c r="H5" s="196"/>
      <c r="I5" s="203"/>
      <c r="J5" s="196"/>
      <c r="K5" s="207" t="s">
        <v>134</v>
      </c>
      <c r="L5" s="208"/>
      <c r="M5" s="196"/>
      <c r="N5" s="223"/>
      <c r="O5" s="203"/>
      <c r="P5" s="206"/>
      <c r="Q5" s="207" t="s">
        <v>120</v>
      </c>
      <c r="R5" s="20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7"/>
        <v>70.2</v>
      </c>
      <c r="H53" s="32"/>
      <c r="I53" s="42">
        <f t="shared" si="8"/>
        <v>70.2</v>
      </c>
      <c r="J53" s="42"/>
      <c r="K53" s="112">
        <f>F53-82.7</f>
        <v>-12.5</v>
      </c>
      <c r="L53" s="112">
        <f>F53/82.7*100</f>
        <v>84.8851269649335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209"/>
      <c r="H83" s="209"/>
      <c r="I83" s="209"/>
      <c r="J83" s="209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210"/>
      <c r="O84" s="210"/>
    </row>
    <row r="85" spans="3:15" ht="15">
      <c r="C85" s="87">
        <v>42397</v>
      </c>
      <c r="D85" s="31">
        <v>8685</v>
      </c>
      <c r="F85" s="124" t="s">
        <v>59</v>
      </c>
      <c r="G85" s="211"/>
      <c r="H85" s="211"/>
      <c r="I85" s="131"/>
      <c r="J85" s="212"/>
      <c r="K85" s="212"/>
      <c r="L85" s="212"/>
      <c r="M85" s="212"/>
      <c r="N85" s="210"/>
      <c r="O85" s="210"/>
    </row>
    <row r="86" spans="3:15" ht="15.75" customHeight="1">
      <c r="C86" s="87">
        <v>42396</v>
      </c>
      <c r="D86" s="31">
        <v>4820.3</v>
      </c>
      <c r="F86" s="73"/>
      <c r="G86" s="211"/>
      <c r="H86" s="211"/>
      <c r="I86" s="131"/>
      <c r="J86" s="213"/>
      <c r="K86" s="213"/>
      <c r="L86" s="213"/>
      <c r="M86" s="213"/>
      <c r="N86" s="210"/>
      <c r="O86" s="210"/>
    </row>
    <row r="87" spans="3:13" ht="15.75" customHeight="1">
      <c r="C87" s="87"/>
      <c r="F87" s="73"/>
      <c r="G87" s="217"/>
      <c r="H87" s="217"/>
      <c r="I87" s="139"/>
      <c r="J87" s="212"/>
      <c r="K87" s="212"/>
      <c r="L87" s="212"/>
      <c r="M87" s="212"/>
    </row>
    <row r="88" spans="2:13" ht="18.75" customHeight="1">
      <c r="B88" s="218" t="s">
        <v>57</v>
      </c>
      <c r="C88" s="219"/>
      <c r="D88" s="148">
        <v>300.92</v>
      </c>
      <c r="E88" s="74"/>
      <c r="F88" s="140"/>
      <c r="G88" s="211"/>
      <c r="H88" s="211"/>
      <c r="I88" s="141"/>
      <c r="J88" s="212"/>
      <c r="K88" s="212"/>
      <c r="L88" s="212"/>
      <c r="M88" s="212"/>
    </row>
    <row r="89" spans="6:12" ht="9.75" customHeight="1">
      <c r="F89" s="73"/>
      <c r="G89" s="211"/>
      <c r="H89" s="211"/>
      <c r="I89" s="73"/>
      <c r="J89" s="74"/>
      <c r="K89" s="74"/>
      <c r="L89" s="74"/>
    </row>
    <row r="90" spans="2:12" ht="22.5" customHeight="1" hidden="1">
      <c r="B90" s="214" t="s">
        <v>60</v>
      </c>
      <c r="C90" s="215"/>
      <c r="D90" s="86">
        <v>0</v>
      </c>
      <c r="E90" s="56" t="s">
        <v>24</v>
      </c>
      <c r="F90" s="73"/>
      <c r="G90" s="211"/>
      <c r="H90" s="211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211"/>
      <c r="O91" s="211"/>
    </row>
    <row r="92" spans="4:15" ht="15">
      <c r="D92" s="83"/>
      <c r="I92" s="31"/>
      <c r="N92" s="216"/>
      <c r="O92" s="216"/>
    </row>
    <row r="93" spans="14:15" ht="15">
      <c r="N93" s="211"/>
      <c r="O93" s="211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6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K27" sqref="K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184" t="s">
        <v>114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92"/>
      <c r="R1" s="93"/>
    </row>
    <row r="2" spans="2:18" s="1" customFormat="1" ht="15.75" customHeight="1">
      <c r="B2" s="185"/>
      <c r="C2" s="185"/>
      <c r="D2" s="185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186"/>
      <c r="B3" s="188" t="s">
        <v>136</v>
      </c>
      <c r="C3" s="189" t="s">
        <v>0</v>
      </c>
      <c r="D3" s="190" t="s">
        <v>115</v>
      </c>
      <c r="E3" s="34"/>
      <c r="F3" s="191" t="s">
        <v>26</v>
      </c>
      <c r="G3" s="192"/>
      <c r="H3" s="192"/>
      <c r="I3" s="192"/>
      <c r="J3" s="193"/>
      <c r="K3" s="89"/>
      <c r="L3" s="89"/>
      <c r="M3" s="194" t="s">
        <v>107</v>
      </c>
      <c r="N3" s="197" t="s">
        <v>66</v>
      </c>
      <c r="O3" s="197"/>
      <c r="P3" s="197"/>
      <c r="Q3" s="197"/>
      <c r="R3" s="197"/>
    </row>
    <row r="4" spans="1:18" ht="22.5" customHeight="1">
      <c r="A4" s="186"/>
      <c r="B4" s="188"/>
      <c r="C4" s="189"/>
      <c r="D4" s="190"/>
      <c r="E4" s="198" t="s">
        <v>104</v>
      </c>
      <c r="F4" s="224" t="s">
        <v>34</v>
      </c>
      <c r="G4" s="202" t="s">
        <v>109</v>
      </c>
      <c r="H4" s="195" t="s">
        <v>110</v>
      </c>
      <c r="I4" s="202" t="s">
        <v>105</v>
      </c>
      <c r="J4" s="195" t="s">
        <v>106</v>
      </c>
      <c r="K4" s="91" t="s">
        <v>65</v>
      </c>
      <c r="L4" s="96" t="s">
        <v>64</v>
      </c>
      <c r="M4" s="195"/>
      <c r="N4" s="222" t="s">
        <v>103</v>
      </c>
      <c r="O4" s="202" t="s">
        <v>50</v>
      </c>
      <c r="P4" s="206" t="s">
        <v>49</v>
      </c>
      <c r="Q4" s="97" t="s">
        <v>65</v>
      </c>
      <c r="R4" s="98" t="s">
        <v>64</v>
      </c>
    </row>
    <row r="5" spans="1:18" ht="76.5" customHeight="1">
      <c r="A5" s="187"/>
      <c r="B5" s="188"/>
      <c r="C5" s="189"/>
      <c r="D5" s="190"/>
      <c r="E5" s="199"/>
      <c r="F5" s="225"/>
      <c r="G5" s="203"/>
      <c r="H5" s="196"/>
      <c r="I5" s="203"/>
      <c r="J5" s="196"/>
      <c r="K5" s="207" t="s">
        <v>108</v>
      </c>
      <c r="L5" s="208"/>
      <c r="M5" s="196"/>
      <c r="N5" s="223"/>
      <c r="O5" s="203"/>
      <c r="P5" s="206"/>
      <c r="Q5" s="207" t="s">
        <v>126</v>
      </c>
      <c r="R5" s="208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70.2</v>
      </c>
      <c r="G53" s="36">
        <f t="shared" si="11"/>
        <v>70.2</v>
      </c>
      <c r="H53" s="32"/>
      <c r="I53" s="42">
        <f t="shared" si="12"/>
        <v>70.2</v>
      </c>
      <c r="J53" s="42"/>
      <c r="K53" s="112">
        <f>F53-82.7</f>
        <v>-12.5</v>
      </c>
      <c r="L53" s="112">
        <f>F53/82.7*100</f>
        <v>84.8851269649335</v>
      </c>
      <c r="M53" s="32">
        <f t="shared" si="13"/>
        <v>0</v>
      </c>
      <c r="N53" s="32">
        <f t="shared" si="14"/>
        <v>70.2</v>
      </c>
      <c r="O53" s="40">
        <f t="shared" si="15"/>
        <v>70.2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209"/>
      <c r="H82" s="209"/>
      <c r="I82" s="209"/>
      <c r="J82" s="209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210"/>
      <c r="O83" s="210"/>
    </row>
    <row r="84" spans="3:15" ht="15">
      <c r="C84" s="87">
        <v>42397</v>
      </c>
      <c r="D84" s="31">
        <v>8685</v>
      </c>
      <c r="F84" s="166" t="s">
        <v>59</v>
      </c>
      <c r="G84" s="211"/>
      <c r="H84" s="211"/>
      <c r="I84" s="131"/>
      <c r="J84" s="212"/>
      <c r="K84" s="212"/>
      <c r="L84" s="212"/>
      <c r="M84" s="212"/>
      <c r="N84" s="210"/>
      <c r="O84" s="210"/>
    </row>
    <row r="85" spans="3:15" ht="15.75" customHeight="1">
      <c r="C85" s="87">
        <v>42396</v>
      </c>
      <c r="D85" s="31">
        <v>4820.3</v>
      </c>
      <c r="F85" s="167"/>
      <c r="G85" s="211"/>
      <c r="H85" s="211"/>
      <c r="I85" s="131"/>
      <c r="J85" s="213"/>
      <c r="K85" s="213"/>
      <c r="L85" s="213"/>
      <c r="M85" s="213"/>
      <c r="N85" s="210"/>
      <c r="O85" s="210"/>
    </row>
    <row r="86" spans="3:13" ht="15.75" customHeight="1">
      <c r="C86" s="87"/>
      <c r="F86" s="167"/>
      <c r="G86" s="217"/>
      <c r="H86" s="217"/>
      <c r="I86" s="139"/>
      <c r="J86" s="212"/>
      <c r="K86" s="212"/>
      <c r="L86" s="212"/>
      <c r="M86" s="212"/>
    </row>
    <row r="87" spans="2:13" ht="18.75" customHeight="1">
      <c r="B87" s="218" t="s">
        <v>57</v>
      </c>
      <c r="C87" s="219"/>
      <c r="D87" s="148">
        <v>300.92</v>
      </c>
      <c r="E87" s="74"/>
      <c r="F87" s="168"/>
      <c r="G87" s="211"/>
      <c r="H87" s="211"/>
      <c r="I87" s="141"/>
      <c r="J87" s="212"/>
      <c r="K87" s="212"/>
      <c r="L87" s="212"/>
      <c r="M87" s="212"/>
    </row>
    <row r="88" spans="6:12" ht="9.75" customHeight="1">
      <c r="F88" s="167"/>
      <c r="G88" s="211"/>
      <c r="H88" s="211"/>
      <c r="I88" s="73"/>
      <c r="J88" s="74"/>
      <c r="K88" s="74"/>
      <c r="L88" s="74"/>
    </row>
    <row r="89" spans="2:12" ht="22.5" customHeight="1" hidden="1">
      <c r="B89" s="214" t="s">
        <v>60</v>
      </c>
      <c r="C89" s="215"/>
      <c r="D89" s="86">
        <v>0</v>
      </c>
      <c r="E89" s="56" t="s">
        <v>24</v>
      </c>
      <c r="F89" s="167"/>
      <c r="G89" s="211"/>
      <c r="H89" s="211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211"/>
      <c r="O90" s="211"/>
    </row>
    <row r="91" spans="4:15" ht="15">
      <c r="D91" s="83"/>
      <c r="I91" s="31"/>
      <c r="N91" s="216"/>
      <c r="O91" s="216"/>
    </row>
    <row r="92" spans="14:15" ht="15">
      <c r="N92" s="211"/>
      <c r="O92" s="211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2016-02-15T08:18:30Z</cp:lastPrinted>
  <dcterms:created xsi:type="dcterms:W3CDTF">2003-07-28T11:27:56Z</dcterms:created>
  <dcterms:modified xsi:type="dcterms:W3CDTF">2016-02-15T09:30:31Z</dcterms:modified>
  <cp:category/>
  <cp:version/>
  <cp:contentType/>
  <cp:contentStatus/>
</cp:coreProperties>
</file>